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3980" windowHeight="16700" tabRatio="639" activeTab="2"/>
  </bookViews>
  <sheets>
    <sheet name="1 Load Calc Table" sheetId="16" r:id="rId1"/>
    <sheet name="2 Derate" sheetId="12" r:id="rId2"/>
    <sheet name="3 Input" sheetId="13" r:id="rId3"/>
    <sheet name="4 System Summary" sheetId="15" r:id="rId4"/>
    <sheet name="Questions" sheetId="14" state="hidden" r:id="rId5"/>
  </sheets>
  <externalReferences>
    <externalReference r:id="rId6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15" l="1"/>
  <c r="C41" i="15"/>
  <c r="C34" i="15"/>
  <c r="C16" i="15"/>
  <c r="C40" i="15"/>
  <c r="C42" i="15"/>
  <c r="C44" i="15"/>
  <c r="H42" i="13"/>
  <c r="H38" i="13"/>
  <c r="C38" i="15"/>
  <c r="C37" i="15"/>
  <c r="C31" i="15"/>
  <c r="C32" i="15"/>
  <c r="C33" i="15"/>
  <c r="C30" i="15"/>
  <c r="C29" i="15"/>
  <c r="C26" i="15"/>
  <c r="B28" i="15"/>
  <c r="B23" i="15"/>
  <c r="C25" i="15"/>
  <c r="C24" i="15"/>
  <c r="C21" i="15"/>
  <c r="C20" i="15"/>
  <c r="C19" i="15"/>
  <c r="B13" i="14"/>
  <c r="B14" i="14"/>
  <c r="H32" i="13"/>
  <c r="J32" i="13"/>
  <c r="H33" i="13"/>
  <c r="J33" i="13"/>
  <c r="H24" i="13"/>
  <c r="H31" i="13"/>
  <c r="H26" i="13"/>
  <c r="E34" i="13"/>
  <c r="H25" i="13"/>
  <c r="E33" i="13"/>
  <c r="H28" i="13"/>
  <c r="H27" i="13"/>
  <c r="H17" i="13"/>
  <c r="E17" i="13"/>
  <c r="H14" i="13"/>
  <c r="J14" i="13"/>
  <c r="H4" i="13"/>
  <c r="H5" i="13"/>
  <c r="H6" i="13"/>
  <c r="H7" i="13"/>
  <c r="H8" i="13"/>
  <c r="H15" i="13"/>
  <c r="H16" i="13"/>
  <c r="H9" i="13"/>
  <c r="J15" i="13"/>
  <c r="B18" i="15"/>
  <c r="B11" i="15"/>
  <c r="C15" i="15"/>
  <c r="H13" i="13"/>
  <c r="C14" i="15"/>
  <c r="C13" i="15"/>
  <c r="D5" i="13"/>
  <c r="C12" i="15"/>
  <c r="C8" i="15"/>
  <c r="C9" i="15"/>
  <c r="C7" i="15"/>
  <c r="E3" i="16"/>
  <c r="H3" i="16"/>
  <c r="E4" i="16"/>
  <c r="H4" i="16"/>
  <c r="E5" i="16"/>
  <c r="H5" i="16"/>
  <c r="E6" i="16"/>
  <c r="H6" i="16"/>
  <c r="E7" i="16"/>
  <c r="H7" i="16"/>
  <c r="E8" i="16"/>
  <c r="H8" i="16"/>
  <c r="E9" i="16"/>
  <c r="H9" i="16"/>
  <c r="E10" i="16"/>
  <c r="H10" i="16"/>
  <c r="H13" i="16"/>
  <c r="H17" i="16"/>
  <c r="F11" i="16"/>
  <c r="H16" i="16"/>
  <c r="E11" i="16"/>
  <c r="H15" i="16"/>
  <c r="E13" i="16"/>
  <c r="H12" i="16"/>
  <c r="E12" i="16"/>
  <c r="H11" i="16"/>
  <c r="D6" i="13"/>
  <c r="C4" i="15"/>
  <c r="C3" i="15"/>
  <c r="B6" i="13"/>
  <c r="B4" i="15"/>
  <c r="H30" i="13"/>
  <c r="H29" i="13"/>
  <c r="J17" i="13"/>
  <c r="J18" i="13"/>
  <c r="E19" i="13"/>
  <c r="H37" i="13"/>
  <c r="H18" i="13"/>
  <c r="H43" i="13"/>
  <c r="H41" i="13"/>
  <c r="H40" i="13"/>
  <c r="H39" i="13"/>
  <c r="D19" i="12"/>
  <c r="D18" i="12"/>
  <c r="D17" i="12"/>
</calcChain>
</file>

<file path=xl/sharedStrings.xml><?xml version="1.0" encoding="utf-8"?>
<sst xmlns="http://schemas.openxmlformats.org/spreadsheetml/2006/main" count="306" uniqueCount="204">
  <si>
    <t>kWh</t>
  </si>
  <si>
    <t>Notes</t>
  </si>
  <si>
    <t>Charge Controller</t>
  </si>
  <si>
    <t>Inverter</t>
  </si>
  <si>
    <t>Daily Energy Usage</t>
  </si>
  <si>
    <t>Units</t>
  </si>
  <si>
    <t>Wh</t>
  </si>
  <si>
    <t>Battery System Voltage</t>
  </si>
  <si>
    <t>V</t>
  </si>
  <si>
    <t>Days of Autonomy</t>
  </si>
  <si>
    <t>days</t>
  </si>
  <si>
    <t>Battery Capacity</t>
  </si>
  <si>
    <t>Ah</t>
  </si>
  <si>
    <t>W</t>
  </si>
  <si>
    <t>Component Derate Factors</t>
  </si>
  <si>
    <t>Range</t>
  </si>
  <si>
    <t>PV module nameplate DC rating</t>
  </si>
  <si>
    <t>PV Temperature</t>
  </si>
  <si>
    <t>Soiling</t>
  </si>
  <si>
    <t>Mismatch</t>
  </si>
  <si>
    <t>Diodes and connections</t>
  </si>
  <si>
    <t>DC wiring</t>
  </si>
  <si>
    <t>Battery Round Trip Efficiency</t>
  </si>
  <si>
    <t>AC wiring</t>
  </si>
  <si>
    <t>Shading</t>
  </si>
  <si>
    <t>Sun-tracking</t>
  </si>
  <si>
    <t>Age (~1% per year)</t>
  </si>
  <si>
    <t>0.80 – 1.05</t>
  </si>
  <si>
    <t>0.85 – 1.05</t>
  </si>
  <si>
    <t>0.30 – 0.995</t>
  </si>
  <si>
    <t>0.97 – 0.995</t>
  </si>
  <si>
    <t>0.99 – 0.997</t>
  </si>
  <si>
    <t>0.97 – 0.99</t>
  </si>
  <si>
    <t>0.88 – 0.98</t>
  </si>
  <si>
    <t>0.80 – 0.98</t>
  </si>
  <si>
    <t>0.98 – 0.993</t>
  </si>
  <si>
    <t>0.00 – 1.00</t>
  </si>
  <si>
    <t>0.95 – 1.00</t>
  </si>
  <si>
    <t>0.70 – 1.00</t>
  </si>
  <si>
    <t>Overall Derate Factor</t>
  </si>
  <si>
    <t>A</t>
  </si>
  <si>
    <t>AC Derate Factor</t>
  </si>
  <si>
    <t>DC Derate Factor</t>
  </si>
  <si>
    <t>Inverter Continuous Power</t>
  </si>
  <si>
    <t>Inverter Surge Power</t>
  </si>
  <si>
    <t>%/°C</t>
  </si>
  <si>
    <t>http://pvwatts.nrel.gov/pvwatts.php</t>
  </si>
  <si>
    <t>Excess Summer Power</t>
  </si>
  <si>
    <t>Max system voltage (Voc low temp adj.)</t>
  </si>
  <si>
    <t>Maximum short circuit current</t>
  </si>
  <si>
    <t>From Spec Sheet</t>
  </si>
  <si>
    <t>Site Specific</t>
  </si>
  <si>
    <t>Estimation</t>
  </si>
  <si>
    <t>Only for Trackers, Use 1.0 otherwise</t>
  </si>
  <si>
    <t>Based on Design, Use 1.0 for new</t>
  </si>
  <si>
    <t>Based on Design, Use 1.0 for no shade</t>
  </si>
  <si>
    <t>3 typical for solar only, 1 or 2 if other generation sources are available</t>
  </si>
  <si>
    <t>Nominal Voltage of batteries</t>
  </si>
  <si>
    <t>From Derate tab</t>
  </si>
  <si>
    <t>Rated Power</t>
  </si>
  <si>
    <t>Module Voc</t>
  </si>
  <si>
    <t>Module Vmp</t>
  </si>
  <si>
    <t>Module Imp</t>
  </si>
  <si>
    <t>Module Isc</t>
  </si>
  <si>
    <t>Module Series Fuse Rating</t>
  </si>
  <si>
    <t>Entry</t>
  </si>
  <si>
    <t>Inverter Specifications</t>
  </si>
  <si>
    <t>Inverter Name/Type</t>
  </si>
  <si>
    <t>Module Name/Type</t>
  </si>
  <si>
    <t>Charge Controller Name/Type</t>
  </si>
  <si>
    <t>Celsius or Fahrenheit?</t>
  </si>
  <si>
    <t>-0.4% Typical</t>
  </si>
  <si>
    <t>C</t>
  </si>
  <si>
    <t>F</t>
  </si>
  <si>
    <t>Choose C or F</t>
  </si>
  <si>
    <t>Default 0°C</t>
  </si>
  <si>
    <t>Maximum String Size</t>
  </si>
  <si>
    <t>Maximum Strings in Parallel</t>
  </si>
  <si>
    <t>Maximum Number of Modules</t>
  </si>
  <si>
    <t>Location Name</t>
  </si>
  <si>
    <t>Pole Mount</t>
  </si>
  <si>
    <t>Rack Mount</t>
  </si>
  <si>
    <t>Roof Mount</t>
  </si>
  <si>
    <t>Racking Type</t>
  </si>
  <si>
    <t>Number of Modules</t>
  </si>
  <si>
    <t>Max Power (STC)</t>
  </si>
  <si>
    <t>Open circuit voltage, Voc</t>
  </si>
  <si>
    <t>Maximum power point voltage, Vmp</t>
  </si>
  <si>
    <t>Short circuit current, Isc</t>
  </si>
  <si>
    <t>Maximum power point current, Imp</t>
  </si>
  <si>
    <t>Modules in series</t>
  </si>
  <si>
    <t>Serial strings in parallel</t>
  </si>
  <si>
    <t>Total PV Power (STC)</t>
  </si>
  <si>
    <t>1000 W</t>
  </si>
  <si>
    <t>Canadian Solar</t>
  </si>
  <si>
    <t>Adjusted Voc Extreme Min. Temp</t>
  </si>
  <si>
    <t>Choose a type</t>
  </si>
  <si>
    <t>STC Rating of Array</t>
  </si>
  <si>
    <t>WDC</t>
  </si>
  <si>
    <t>AC Overcurrent Protection</t>
  </si>
  <si>
    <t>Maximum Input Current</t>
  </si>
  <si>
    <t>Maximum Input Voltage</t>
  </si>
  <si>
    <t>ProStar MPPT</t>
  </si>
  <si>
    <t>Battery Specifications</t>
  </si>
  <si>
    <t>Battery Name/Type</t>
  </si>
  <si>
    <t>Maximum Input Power</t>
  </si>
  <si>
    <t>Oakland</t>
  </si>
  <si>
    <t>VRLA AGM</t>
  </si>
  <si>
    <t>PST-1000</t>
  </si>
  <si>
    <t>Charge Controller Specifications</t>
  </si>
  <si>
    <t>hr</t>
  </si>
  <si>
    <t>Mininum Winter PSH</t>
  </si>
  <si>
    <t>Maximum Summer PSH</t>
  </si>
  <si>
    <t>STC</t>
  </si>
  <si>
    <t>Open Circuit Voltage</t>
  </si>
  <si>
    <t>Max Power Voltage</t>
  </si>
  <si>
    <t>Short Circuit Current</t>
  </si>
  <si>
    <t>Max Power Current</t>
  </si>
  <si>
    <t>Battery Voltage</t>
  </si>
  <si>
    <t>DC System Voltage</t>
  </si>
  <si>
    <t>Desired PV String Size</t>
  </si>
  <si>
    <t>Desired Number of Parallel PV Strings</t>
  </si>
  <si>
    <t>Battery Hour Rate at Capacity</t>
  </si>
  <si>
    <t>Maximum continuous current</t>
  </si>
  <si>
    <t>Rated Isc for PV Array</t>
  </si>
  <si>
    <t>AC Peak Current</t>
  </si>
  <si>
    <t>Battery Chemistry</t>
  </si>
  <si>
    <t>VRLA Gel</t>
  </si>
  <si>
    <t>Lithium-Ion</t>
  </si>
  <si>
    <t>Flooded Lead-Acid</t>
  </si>
  <si>
    <t>Xtender</t>
  </si>
  <si>
    <t>To meet DC System voltage</t>
  </si>
  <si>
    <t>Potentially unused daytime power during summer</t>
  </si>
  <si>
    <t>Peak Continuous Power</t>
  </si>
  <si>
    <t>Peak Surge Power</t>
  </si>
  <si>
    <t>Nominal Voltage</t>
  </si>
  <si>
    <t>Batteries in series</t>
  </si>
  <si>
    <t>Maximum Current</t>
  </si>
  <si>
    <t>Max Continuous Power</t>
  </si>
  <si>
    <t>Max Surge Power</t>
  </si>
  <si>
    <t>Appliance</t>
  </si>
  <si>
    <t>Qty</t>
  </si>
  <si>
    <t>Each Running Wattage (W)</t>
  </si>
  <si>
    <t>Total Running Wattage (W)</t>
  </si>
  <si>
    <t>Surge Wattage (W)</t>
  </si>
  <si>
    <t>AVG Daily Usage (hours)</t>
  </si>
  <si>
    <t>Total Energy (Wh)</t>
  </si>
  <si>
    <t>Essential?</t>
  </si>
  <si>
    <t>LED lights</t>
  </si>
  <si>
    <t>Y</t>
  </si>
  <si>
    <t>Plug Loads</t>
  </si>
  <si>
    <t>cell phone chargers</t>
  </si>
  <si>
    <t>Fan</t>
  </si>
  <si>
    <t>N</t>
  </si>
  <si>
    <t>LCD TV</t>
  </si>
  <si>
    <t>Water Pump</t>
  </si>
  <si>
    <t>Essentials</t>
  </si>
  <si>
    <t>Non Essentials</t>
  </si>
  <si>
    <t>TOTAL</t>
  </si>
  <si>
    <t>Essential Only</t>
  </si>
  <si>
    <t>Maximum Surge</t>
  </si>
  <si>
    <t>Average</t>
  </si>
  <si>
    <t>Find more details at:</t>
  </si>
  <si>
    <t>www.OffGridSolarBook.com</t>
  </si>
  <si>
    <t>From Load Calculation Table tab</t>
  </si>
  <si>
    <t>C-Rate</t>
  </si>
  <si>
    <t>Based on Max Input Power</t>
  </si>
  <si>
    <t>Based on Max Input Voltage</t>
  </si>
  <si>
    <t>Based on Max Input Current</t>
  </si>
  <si>
    <t>AC Load</t>
  </si>
  <si>
    <t>Location Details</t>
  </si>
  <si>
    <t xml:space="preserve"> W</t>
  </si>
  <si>
    <t xml:space="preserve"> kWh</t>
  </si>
  <si>
    <t xml:space="preserve"> V</t>
  </si>
  <si>
    <t xml:space="preserve"> Ah</t>
  </si>
  <si>
    <t xml:space="preserve"> hr</t>
  </si>
  <si>
    <t>Capacity</t>
  </si>
  <si>
    <t>PV Module Specifications</t>
  </si>
  <si>
    <t>Desired Battery DOD</t>
  </si>
  <si>
    <t>Maximum Discharge Rate</t>
  </si>
  <si>
    <t>Battery Requirements</t>
  </si>
  <si>
    <t>PV Module Requirements</t>
  </si>
  <si>
    <t>Required Storage Capacity</t>
  </si>
  <si>
    <t>Site/Location Specifications</t>
  </si>
  <si>
    <t>Site/Location Requirements</t>
  </si>
  <si>
    <t>Min Solar Power for Winter</t>
  </si>
  <si>
    <t>To prevent damage to batteries</t>
  </si>
  <si>
    <t>Determines Max in series</t>
  </si>
  <si>
    <t>System Requirements</t>
  </si>
  <si>
    <t>Usually higher for MPPT</t>
  </si>
  <si>
    <t>MPP current (Imp for array)</t>
  </si>
  <si>
    <t>Rated MPP voltage( Typ. Op. Vmp)</t>
  </si>
  <si>
    <t>Required String Size</t>
  </si>
  <si>
    <t>Required Number of Parallel Strings</t>
  </si>
  <si>
    <t>Required fused combiner box?</t>
  </si>
  <si>
    <t>To prevent back feeding</t>
  </si>
  <si>
    <t>Adjusted Max Power of Array</t>
  </si>
  <si>
    <t>Voc Correction (TCVoc)</t>
  </si>
  <si>
    <t>Pmax Correction (TCPmax)</t>
  </si>
  <si>
    <t>AC Voltage</t>
  </si>
  <si>
    <t>VAC</t>
  </si>
  <si>
    <t>DC Voltage</t>
  </si>
  <si>
    <t>Total Capacity (Wh)</t>
  </si>
  <si>
    <t>PV Array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</si>
</sst>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 (Body)"/>
    </font>
    <font>
      <sz val="12"/>
      <name val="Calibri (Body)"/>
    </font>
    <font>
      <b/>
      <sz val="12"/>
      <color theme="1"/>
      <name val="Calibri (Body)"/>
    </font>
    <font>
      <sz val="12"/>
      <color theme="1"/>
      <name val="Calibri (Body)"/>
    </font>
    <font>
      <sz val="12"/>
      <color rgb="FF000000"/>
      <name val="Calibri (Body)"/>
    </font>
    <font>
      <b/>
      <sz val="12"/>
      <color rgb="FF000000"/>
      <name val="Calibri (Body)"/>
    </font>
    <font>
      <b/>
      <sz val="16"/>
      <color theme="0"/>
      <name val="Calibri"/>
      <scheme val="minor"/>
    </font>
    <font>
      <b/>
      <sz val="12"/>
      <color theme="0"/>
      <name val="Calibri (Body)"/>
    </font>
    <font>
      <sz val="12"/>
      <color theme="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2" fontId="0" fillId="2" borderId="1" xfId="0" applyNumberFormat="1" applyFill="1" applyBorder="1" applyAlignment="1">
      <alignment horizontal="center" vertical="center"/>
    </xf>
    <xf numFmtId="10" fontId="0" fillId="2" borderId="1" xfId="94" applyNumberFormat="1" applyFont="1" applyFill="1" applyBorder="1" applyAlignment="1">
      <alignment horizontal="center" vertical="center"/>
    </xf>
    <xf numFmtId="166" fontId="0" fillId="2" borderId="1" xfId="94" quotePrefix="1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2" fillId="2" borderId="1" xfId="9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0" fontId="0" fillId="0" borderId="1" xfId="94" applyNumberFormat="1" applyFont="1" applyFill="1" applyBorder="1" applyAlignment="1">
      <alignment horizontal="center" vertical="center"/>
    </xf>
    <xf numFmtId="2" fontId="0" fillId="0" borderId="0" xfId="0" applyNumberFormat="1"/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9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left" vertical="center"/>
    </xf>
  </cellXfs>
  <cellStyles count="4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3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/>
    <cellStyle name="Normal" xfId="0" builtinId="0"/>
    <cellStyle name="Percent" xfId="94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ffGridSolarBook.com%20Load%20Calculation%20Tabl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ffGridSolarBook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pvwatts.nrel.gov/pvwatts.php" TargetMode="External"/><Relationship Id="rId2" Type="http://schemas.openxmlformats.org/officeDocument/2006/relationships/hyperlink" Target="http://pvwatts.nrel.gov/pvwatt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zoomScale="150" zoomScaleNormal="150" zoomScalePageLayoutView="150" workbookViewId="0">
      <selection activeCell="E21" sqref="E21"/>
    </sheetView>
  </sheetViews>
  <sheetFormatPr baseColWidth="10" defaultRowHeight="16" x14ac:dyDescent="0"/>
  <cols>
    <col min="1" max="1" width="2.6640625" style="27" customWidth="1"/>
    <col min="2" max="2" width="27.6640625" style="39" customWidth="1"/>
    <col min="3" max="3" width="5.33203125" style="27" customWidth="1"/>
    <col min="4" max="7" width="10.83203125" style="27"/>
    <col min="8" max="8" width="12" style="27" customWidth="1"/>
    <col min="9" max="9" width="10.83203125" style="27"/>
    <col min="10" max="10" width="30.5" style="27" customWidth="1"/>
    <col min="11" max="16384" width="10.83203125" style="27"/>
  </cols>
  <sheetData>
    <row r="2" spans="2:10" ht="64">
      <c r="B2" s="78" t="s">
        <v>140</v>
      </c>
      <c r="C2" s="79" t="s">
        <v>141</v>
      </c>
      <c r="D2" s="79" t="s">
        <v>142</v>
      </c>
      <c r="E2" s="79" t="s">
        <v>143</v>
      </c>
      <c r="F2" s="80" t="s">
        <v>144</v>
      </c>
      <c r="G2" s="79" t="s">
        <v>145</v>
      </c>
      <c r="H2" s="79" t="s">
        <v>146</v>
      </c>
      <c r="I2" s="79" t="s">
        <v>147</v>
      </c>
      <c r="J2" s="78" t="s">
        <v>1</v>
      </c>
    </row>
    <row r="3" spans="2:10">
      <c r="B3" s="28" t="s">
        <v>148</v>
      </c>
      <c r="C3" s="29">
        <v>4</v>
      </c>
      <c r="D3" s="29">
        <v>20</v>
      </c>
      <c r="E3" s="30">
        <f>C3*D3</f>
        <v>80</v>
      </c>
      <c r="F3" s="29"/>
      <c r="G3" s="29">
        <v>6</v>
      </c>
      <c r="H3" s="30">
        <f>E3*G3</f>
        <v>480</v>
      </c>
      <c r="I3" s="29" t="s">
        <v>149</v>
      </c>
      <c r="J3" s="28"/>
    </row>
    <row r="4" spans="2:10">
      <c r="B4" s="28" t="s">
        <v>150</v>
      </c>
      <c r="C4" s="31">
        <v>2</v>
      </c>
      <c r="D4" s="31">
        <v>10</v>
      </c>
      <c r="E4" s="30">
        <f t="shared" ref="E4:E10" si="0">C4*D4</f>
        <v>20</v>
      </c>
      <c r="F4" s="31"/>
      <c r="G4" s="31">
        <v>2</v>
      </c>
      <c r="H4" s="30">
        <f t="shared" ref="H4:H10" si="1">E4*G4</f>
        <v>40</v>
      </c>
      <c r="I4" s="31" t="s">
        <v>149</v>
      </c>
      <c r="J4" s="28" t="s">
        <v>151</v>
      </c>
    </row>
    <row r="5" spans="2:10">
      <c r="B5" s="28" t="s">
        <v>152</v>
      </c>
      <c r="C5" s="29">
        <v>1</v>
      </c>
      <c r="D5" s="29">
        <v>100</v>
      </c>
      <c r="E5" s="30">
        <f t="shared" si="0"/>
        <v>100</v>
      </c>
      <c r="F5" s="29">
        <v>200</v>
      </c>
      <c r="G5" s="29">
        <v>4</v>
      </c>
      <c r="H5" s="30">
        <f t="shared" si="1"/>
        <v>400</v>
      </c>
      <c r="I5" s="29" t="s">
        <v>153</v>
      </c>
      <c r="J5" s="28"/>
    </row>
    <row r="6" spans="2:10">
      <c r="B6" s="28" t="s">
        <v>154</v>
      </c>
      <c r="C6" s="29">
        <v>1</v>
      </c>
      <c r="D6" s="29">
        <v>150</v>
      </c>
      <c r="E6" s="30">
        <f t="shared" si="0"/>
        <v>150</v>
      </c>
      <c r="F6" s="29"/>
      <c r="G6" s="29">
        <v>2</v>
      </c>
      <c r="H6" s="30">
        <f t="shared" si="1"/>
        <v>300</v>
      </c>
      <c r="I6" s="29" t="s">
        <v>153</v>
      </c>
      <c r="J6" s="28"/>
    </row>
    <row r="7" spans="2:10">
      <c r="B7" s="28" t="s">
        <v>155</v>
      </c>
      <c r="C7" s="29">
        <v>1</v>
      </c>
      <c r="D7" s="29">
        <v>500</v>
      </c>
      <c r="E7" s="30">
        <f t="shared" si="0"/>
        <v>500</v>
      </c>
      <c r="F7" s="29">
        <v>1500</v>
      </c>
      <c r="G7" s="29">
        <v>0.5</v>
      </c>
      <c r="H7" s="30">
        <f t="shared" si="1"/>
        <v>250</v>
      </c>
      <c r="I7" s="29" t="s">
        <v>149</v>
      </c>
      <c r="J7" s="28"/>
    </row>
    <row r="8" spans="2:10">
      <c r="B8" s="32"/>
      <c r="C8" s="29"/>
      <c r="D8" s="29"/>
      <c r="E8" s="30">
        <f t="shared" si="0"/>
        <v>0</v>
      </c>
      <c r="F8" s="29"/>
      <c r="G8" s="29"/>
      <c r="H8" s="30">
        <f t="shared" si="1"/>
        <v>0</v>
      </c>
      <c r="I8" s="29" t="s">
        <v>149</v>
      </c>
      <c r="J8" s="32"/>
    </row>
    <row r="9" spans="2:10">
      <c r="B9" s="32"/>
      <c r="C9" s="29"/>
      <c r="D9" s="29"/>
      <c r="E9" s="30">
        <f t="shared" si="0"/>
        <v>0</v>
      </c>
      <c r="F9" s="29"/>
      <c r="G9" s="29"/>
      <c r="H9" s="30">
        <f t="shared" si="1"/>
        <v>0</v>
      </c>
      <c r="I9" s="29" t="s">
        <v>149</v>
      </c>
      <c r="J9" s="32"/>
    </row>
    <row r="10" spans="2:10">
      <c r="B10" s="32"/>
      <c r="C10" s="29"/>
      <c r="D10" s="29"/>
      <c r="E10" s="30">
        <f t="shared" si="0"/>
        <v>0</v>
      </c>
      <c r="F10" s="29"/>
      <c r="G10" s="29"/>
      <c r="H10" s="30">
        <f t="shared" si="1"/>
        <v>0</v>
      </c>
      <c r="I10" s="29" t="s">
        <v>149</v>
      </c>
      <c r="J10" s="28"/>
    </row>
    <row r="11" spans="2:10">
      <c r="B11" s="25" t="s">
        <v>156</v>
      </c>
      <c r="C11" s="26"/>
      <c r="D11" s="26"/>
      <c r="E11" s="26">
        <f>SUMIF(I3:I10,"Y",E3:E10)</f>
        <v>600</v>
      </c>
      <c r="F11" s="26">
        <f>MAX(F3:F10)</f>
        <v>1500</v>
      </c>
      <c r="G11" s="33"/>
      <c r="H11" s="26">
        <f>SUMIF(I3:I10,"Y",H3:H10)</f>
        <v>770</v>
      </c>
      <c r="I11" s="26"/>
      <c r="J11" s="26"/>
    </row>
    <row r="12" spans="2:10">
      <c r="B12" s="34" t="s">
        <v>157</v>
      </c>
      <c r="C12" s="26"/>
      <c r="D12" s="26"/>
      <c r="E12" s="26">
        <f>SUMIF(I3:I10,"N",E3:E10)</f>
        <v>250</v>
      </c>
      <c r="F12" s="26"/>
      <c r="G12" s="26"/>
      <c r="H12" s="26">
        <f>SUMIF(I3:I10,"N",H3:H10)</f>
        <v>700</v>
      </c>
      <c r="I12" s="26"/>
      <c r="J12" s="26"/>
    </row>
    <row r="13" spans="2:10">
      <c r="B13" s="34" t="s">
        <v>158</v>
      </c>
      <c r="C13" s="26"/>
      <c r="D13" s="26"/>
      <c r="E13" s="26">
        <f>SUM(E3:E10)</f>
        <v>850</v>
      </c>
      <c r="F13" s="26"/>
      <c r="G13" s="26"/>
      <c r="H13" s="26">
        <f>SUM(H3:H10)</f>
        <v>1470</v>
      </c>
      <c r="I13" s="26"/>
      <c r="J13" s="26"/>
    </row>
    <row r="15" spans="2:10">
      <c r="B15" s="35" t="s">
        <v>133</v>
      </c>
      <c r="C15" s="35"/>
      <c r="D15" s="35"/>
      <c r="E15" s="35"/>
      <c r="F15" s="35"/>
      <c r="G15" s="35"/>
      <c r="H15" s="36">
        <f>E11</f>
        <v>600</v>
      </c>
      <c r="I15" s="37" t="s">
        <v>171</v>
      </c>
      <c r="J15" s="38" t="s">
        <v>159</v>
      </c>
    </row>
    <row r="16" spans="2:10">
      <c r="B16" s="35" t="s">
        <v>134</v>
      </c>
      <c r="C16" s="35"/>
      <c r="D16" s="35"/>
      <c r="E16" s="35"/>
      <c r="F16" s="35"/>
      <c r="G16" s="35"/>
      <c r="H16" s="36">
        <f>F11</f>
        <v>1500</v>
      </c>
      <c r="I16" s="37" t="s">
        <v>171</v>
      </c>
      <c r="J16" s="38" t="s">
        <v>160</v>
      </c>
    </row>
    <row r="17" spans="2:10">
      <c r="B17" s="35" t="s">
        <v>4</v>
      </c>
      <c r="C17" s="35"/>
      <c r="D17" s="35"/>
      <c r="E17" s="35"/>
      <c r="F17" s="35"/>
      <c r="G17" s="35"/>
      <c r="H17" s="36">
        <f>H13</f>
        <v>1470</v>
      </c>
      <c r="I17" s="37" t="s">
        <v>172</v>
      </c>
      <c r="J17" s="38" t="s">
        <v>161</v>
      </c>
    </row>
    <row r="19" spans="2:10">
      <c r="B19" s="39" t="s">
        <v>162</v>
      </c>
    </row>
    <row r="20" spans="2:10">
      <c r="B20" s="40" t="s">
        <v>163</v>
      </c>
    </row>
  </sheetData>
  <mergeCells count="3">
    <mergeCell ref="B15:G15"/>
    <mergeCell ref="B16:G16"/>
    <mergeCell ref="B17:G17"/>
  </mergeCells>
  <hyperlinks>
    <hyperlink ref="B20" r:id="rId1"/>
  </hyperlink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I3:I10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zoomScale="150" zoomScaleNormal="150" zoomScalePageLayoutView="150" workbookViewId="0">
      <selection activeCell="B2" sqref="B2"/>
    </sheetView>
  </sheetViews>
  <sheetFormatPr baseColWidth="10" defaultColWidth="30.83203125" defaultRowHeight="16" x14ac:dyDescent="0"/>
  <cols>
    <col min="1" max="1" width="11" style="41" customWidth="1"/>
    <col min="2" max="2" width="33.1640625" style="41" customWidth="1"/>
    <col min="3" max="3" width="15" style="46" customWidth="1"/>
    <col min="4" max="4" width="11.83203125" style="46" bestFit="1" customWidth="1"/>
    <col min="5" max="5" width="38.6640625" style="41" bestFit="1" customWidth="1"/>
    <col min="6" max="16384" width="30.83203125" style="41"/>
  </cols>
  <sheetData>
    <row r="2" spans="2:6" ht="29" customHeight="1">
      <c r="B2" s="75" t="s">
        <v>14</v>
      </c>
      <c r="C2" s="76" t="s">
        <v>15</v>
      </c>
      <c r="D2" s="76" t="s">
        <v>65</v>
      </c>
      <c r="E2" s="77" t="s">
        <v>1</v>
      </c>
    </row>
    <row r="3" spans="2:6">
      <c r="B3" s="51" t="s">
        <v>16</v>
      </c>
      <c r="C3" s="52" t="s">
        <v>27</v>
      </c>
      <c r="D3" s="42">
        <v>0.95</v>
      </c>
      <c r="E3" s="50" t="s">
        <v>50</v>
      </c>
    </row>
    <row r="4" spans="2:6">
      <c r="B4" s="51" t="s">
        <v>17</v>
      </c>
      <c r="C4" s="52" t="s">
        <v>28</v>
      </c>
      <c r="D4" s="44">
        <v>0.95</v>
      </c>
      <c r="E4" s="50" t="s">
        <v>51</v>
      </c>
    </row>
    <row r="5" spans="2:6">
      <c r="B5" s="51" t="s">
        <v>18</v>
      </c>
      <c r="C5" s="52" t="s">
        <v>29</v>
      </c>
      <c r="D5" s="42">
        <v>0.95</v>
      </c>
      <c r="E5" s="50" t="s">
        <v>51</v>
      </c>
    </row>
    <row r="6" spans="2:6">
      <c r="B6" s="51" t="s">
        <v>19</v>
      </c>
      <c r="C6" s="52" t="s">
        <v>30</v>
      </c>
      <c r="D6" s="42">
        <v>0.98</v>
      </c>
      <c r="E6" s="50" t="s">
        <v>50</v>
      </c>
    </row>
    <row r="7" spans="2:6">
      <c r="B7" s="51" t="s">
        <v>20</v>
      </c>
      <c r="C7" s="52" t="s">
        <v>31</v>
      </c>
      <c r="D7" s="42">
        <v>0.99</v>
      </c>
      <c r="E7" s="50" t="s">
        <v>52</v>
      </c>
    </row>
    <row r="8" spans="2:6">
      <c r="B8" s="51" t="s">
        <v>21</v>
      </c>
      <c r="C8" s="52" t="s">
        <v>32</v>
      </c>
      <c r="D8" s="42">
        <v>0.98</v>
      </c>
      <c r="E8" s="50" t="s">
        <v>52</v>
      </c>
    </row>
    <row r="9" spans="2:6">
      <c r="B9" s="51" t="s">
        <v>2</v>
      </c>
      <c r="C9" s="52" t="s">
        <v>33</v>
      </c>
      <c r="D9" s="42">
        <v>0.95</v>
      </c>
      <c r="E9" s="50" t="s">
        <v>50</v>
      </c>
    </row>
    <row r="10" spans="2:6">
      <c r="B10" s="51" t="s">
        <v>22</v>
      </c>
      <c r="C10" s="52" t="s">
        <v>34</v>
      </c>
      <c r="D10" s="42">
        <v>0.85</v>
      </c>
      <c r="E10" s="53" t="s">
        <v>50</v>
      </c>
    </row>
    <row r="11" spans="2:6">
      <c r="B11" s="51" t="s">
        <v>3</v>
      </c>
      <c r="C11" s="52" t="s">
        <v>33</v>
      </c>
      <c r="D11" s="42">
        <v>0.92</v>
      </c>
      <c r="E11" s="53" t="s">
        <v>50</v>
      </c>
    </row>
    <row r="12" spans="2:6">
      <c r="B12" s="51" t="s">
        <v>23</v>
      </c>
      <c r="C12" s="52" t="s">
        <v>35</v>
      </c>
      <c r="D12" s="42">
        <v>0.99</v>
      </c>
      <c r="E12" s="50" t="s">
        <v>52</v>
      </c>
      <c r="F12" s="45"/>
    </row>
    <row r="13" spans="2:6">
      <c r="B13" s="51" t="s">
        <v>24</v>
      </c>
      <c r="C13" s="52" t="s">
        <v>36</v>
      </c>
      <c r="D13" s="44">
        <v>1</v>
      </c>
      <c r="E13" s="53" t="s">
        <v>55</v>
      </c>
    </row>
    <row r="14" spans="2:6">
      <c r="B14" s="51" t="s">
        <v>25</v>
      </c>
      <c r="C14" s="52" t="s">
        <v>37</v>
      </c>
      <c r="D14" s="44">
        <v>1</v>
      </c>
      <c r="E14" s="50" t="s">
        <v>53</v>
      </c>
    </row>
    <row r="15" spans="2:6">
      <c r="B15" s="51" t="s">
        <v>26</v>
      </c>
      <c r="C15" s="52" t="s">
        <v>38</v>
      </c>
      <c r="D15" s="44">
        <v>1</v>
      </c>
      <c r="E15" s="50" t="s">
        <v>54</v>
      </c>
    </row>
    <row r="16" spans="2:6">
      <c r="B16" s="51"/>
      <c r="C16" s="52"/>
      <c r="D16" s="54"/>
      <c r="E16" s="50"/>
    </row>
    <row r="17" spans="2:5" ht="20" customHeight="1">
      <c r="B17" s="47" t="s">
        <v>42</v>
      </c>
      <c r="C17" s="48"/>
      <c r="D17" s="49">
        <f>D3*D4*D5*D6*D7*D8*D9*D10</f>
        <v>0.65826489180374992</v>
      </c>
      <c r="E17" s="50"/>
    </row>
    <row r="18" spans="2:5" ht="20" customHeight="1">
      <c r="B18" s="47" t="s">
        <v>41</v>
      </c>
      <c r="C18" s="48"/>
      <c r="D18" s="49">
        <f>D11*D12*D13*D14*D15</f>
        <v>0.91080000000000005</v>
      </c>
      <c r="E18" s="50"/>
    </row>
    <row r="19" spans="2:5" ht="20" customHeight="1">
      <c r="B19" s="47" t="s">
        <v>39</v>
      </c>
      <c r="C19" s="48"/>
      <c r="D19" s="49">
        <f>D3*D4*D5*D6*D7*D8*D9*D10*D11*D12*D13*D14*D15</f>
        <v>0.59954766345485555</v>
      </c>
      <c r="E19" s="5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3"/>
  <sheetViews>
    <sheetView tabSelected="1" topLeftCell="A11" zoomScale="125" zoomScaleNormal="125" zoomScalePageLayoutView="125" workbookViewId="0">
      <selection activeCell="G24" sqref="G24:H24"/>
    </sheetView>
  </sheetViews>
  <sheetFormatPr baseColWidth="10" defaultRowHeight="15" x14ac:dyDescent="0"/>
  <cols>
    <col min="1" max="1" width="2.6640625" style="2" customWidth="1"/>
    <col min="2" max="2" width="31.83203125" style="3" bestFit="1" customWidth="1"/>
    <col min="3" max="3" width="15.33203125" style="1" customWidth="1"/>
    <col min="4" max="4" width="6.6640625" style="1" bestFit="1" customWidth="1"/>
    <col min="5" max="5" width="31.1640625" style="5" bestFit="1" customWidth="1"/>
    <col min="6" max="6" width="5.6640625" style="2" customWidth="1"/>
    <col min="7" max="7" width="33.6640625" style="2" bestFit="1" customWidth="1"/>
    <col min="8" max="8" width="13.33203125" style="1" bestFit="1" customWidth="1"/>
    <col min="9" max="9" width="6.6640625" style="1" bestFit="1" customWidth="1"/>
    <col min="10" max="10" width="36.5" style="5" bestFit="1" customWidth="1"/>
    <col min="11" max="16384" width="10.83203125" style="2"/>
  </cols>
  <sheetData>
    <row r="2" spans="2:10" ht="23" customHeight="1">
      <c r="B2" s="74" t="s">
        <v>183</v>
      </c>
      <c r="C2" s="74"/>
      <c r="D2" s="74"/>
      <c r="E2" s="74"/>
      <c r="G2" s="74" t="s">
        <v>184</v>
      </c>
      <c r="H2" s="74"/>
      <c r="I2" s="74"/>
      <c r="J2" s="74"/>
    </row>
    <row r="3" spans="2:10">
      <c r="B3" s="13"/>
      <c r="C3" s="6" t="s">
        <v>65</v>
      </c>
      <c r="D3" s="6" t="s">
        <v>5</v>
      </c>
      <c r="E3" s="7" t="s">
        <v>1</v>
      </c>
      <c r="F3" s="4"/>
      <c r="G3" s="13"/>
      <c r="H3" s="6" t="s">
        <v>65</v>
      </c>
      <c r="I3" s="6" t="s">
        <v>5</v>
      </c>
      <c r="J3" s="7" t="s">
        <v>1</v>
      </c>
    </row>
    <row r="4" spans="2:10">
      <c r="B4" s="14" t="s">
        <v>79</v>
      </c>
      <c r="C4" s="19" t="s">
        <v>106</v>
      </c>
      <c r="D4" s="17"/>
      <c r="E4" s="9"/>
      <c r="G4" s="14" t="s">
        <v>133</v>
      </c>
      <c r="H4" s="8">
        <f>'1 Load Calc Table'!H15</f>
        <v>600</v>
      </c>
      <c r="I4" s="8" t="s">
        <v>13</v>
      </c>
      <c r="J4" s="9" t="s">
        <v>164</v>
      </c>
    </row>
    <row r="5" spans="2:10">
      <c r="B5" s="14" t="s">
        <v>70</v>
      </c>
      <c r="C5" s="15" t="s">
        <v>72</v>
      </c>
      <c r="D5" s="8" t="str">
        <f>"°" &amp;C5</f>
        <v>°C</v>
      </c>
      <c r="E5" s="9" t="s">
        <v>74</v>
      </c>
      <c r="G5" s="14" t="s">
        <v>134</v>
      </c>
      <c r="H5" s="8">
        <f>'1 Load Calc Table'!H16</f>
        <v>1500</v>
      </c>
      <c r="I5" s="8" t="s">
        <v>13</v>
      </c>
      <c r="J5" s="9" t="s">
        <v>164</v>
      </c>
    </row>
    <row r="6" spans="2:10">
      <c r="B6" s="14" t="str">
        <f>"Extreme Minimum Temp in °" &amp; C5</f>
        <v>Extreme Minimum Temp in °C</v>
      </c>
      <c r="C6" s="15">
        <v>-4</v>
      </c>
      <c r="D6" s="8" t="str">
        <f>D5</f>
        <v>°C</v>
      </c>
      <c r="E6" s="9" t="s">
        <v>75</v>
      </c>
      <c r="G6" s="14" t="s">
        <v>4</v>
      </c>
      <c r="H6" s="8">
        <f>'1 Load Calc Table'!H17</f>
        <v>1470</v>
      </c>
      <c r="I6" s="8" t="s">
        <v>6</v>
      </c>
      <c r="J6" s="9" t="s">
        <v>164</v>
      </c>
    </row>
    <row r="7" spans="2:10">
      <c r="B7" s="14" t="s">
        <v>83</v>
      </c>
      <c r="C7" s="15" t="s">
        <v>80</v>
      </c>
      <c r="D7" s="8"/>
      <c r="E7" s="9" t="s">
        <v>96</v>
      </c>
      <c r="G7" s="14" t="s">
        <v>39</v>
      </c>
      <c r="H7" s="10">
        <f>'2 Derate'!D19</f>
        <v>0.59954766345485555</v>
      </c>
      <c r="I7" s="8"/>
      <c r="J7" s="9" t="s">
        <v>58</v>
      </c>
    </row>
    <row r="8" spans="2:10">
      <c r="B8" s="14" t="s">
        <v>111</v>
      </c>
      <c r="C8" s="19">
        <v>3.05</v>
      </c>
      <c r="D8" s="8" t="s">
        <v>110</v>
      </c>
      <c r="E8" s="20" t="s">
        <v>46</v>
      </c>
      <c r="G8" s="14" t="s">
        <v>182</v>
      </c>
      <c r="H8" s="22">
        <f>H6/H7/C18/C19*C20</f>
        <v>612.9621086041841</v>
      </c>
      <c r="I8" s="8" t="s">
        <v>12</v>
      </c>
      <c r="J8" s="9"/>
    </row>
    <row r="9" spans="2:10">
      <c r="B9" s="14" t="s">
        <v>112</v>
      </c>
      <c r="C9" s="19">
        <v>7.53</v>
      </c>
      <c r="D9" s="8" t="s">
        <v>110</v>
      </c>
      <c r="E9" s="20" t="s">
        <v>46</v>
      </c>
      <c r="G9" s="14" t="s">
        <v>182</v>
      </c>
      <c r="H9" s="55">
        <f>H8*C18</f>
        <v>14711.090606500418</v>
      </c>
      <c r="I9" s="8" t="s">
        <v>6</v>
      </c>
      <c r="J9" s="9"/>
    </row>
    <row r="11" spans="2:10" ht="20">
      <c r="B11" s="74" t="s">
        <v>103</v>
      </c>
      <c r="C11" s="74"/>
      <c r="D11" s="74"/>
      <c r="E11" s="74"/>
      <c r="G11" s="74" t="s">
        <v>180</v>
      </c>
      <c r="H11" s="74"/>
      <c r="I11" s="74"/>
      <c r="J11" s="74"/>
    </row>
    <row r="12" spans="2:10">
      <c r="B12" s="13"/>
      <c r="C12" s="6" t="s">
        <v>65</v>
      </c>
      <c r="D12" s="6" t="s">
        <v>5</v>
      </c>
      <c r="E12" s="7" t="s">
        <v>1</v>
      </c>
      <c r="G12" s="13"/>
      <c r="H12" s="6" t="s">
        <v>65</v>
      </c>
      <c r="I12" s="6" t="s">
        <v>5</v>
      </c>
      <c r="J12" s="7" t="s">
        <v>1</v>
      </c>
    </row>
    <row r="13" spans="2:10">
      <c r="B13" s="14" t="s">
        <v>126</v>
      </c>
      <c r="C13" s="15" t="s">
        <v>107</v>
      </c>
      <c r="D13" s="17"/>
      <c r="E13" s="9" t="s">
        <v>96</v>
      </c>
      <c r="G13" s="14" t="s">
        <v>192</v>
      </c>
      <c r="H13" s="22">
        <f>C18/C15</f>
        <v>4</v>
      </c>
      <c r="I13" s="8"/>
      <c r="J13" s="9" t="s">
        <v>131</v>
      </c>
    </row>
    <row r="14" spans="2:10">
      <c r="B14" s="14" t="s">
        <v>104</v>
      </c>
      <c r="C14" s="15" t="s">
        <v>130</v>
      </c>
      <c r="D14" s="17"/>
      <c r="E14" s="9"/>
      <c r="G14" s="14" t="s">
        <v>193</v>
      </c>
      <c r="H14" s="22">
        <f>ROUNDUP(H8/C16,0)</f>
        <v>2</v>
      </c>
      <c r="I14" s="8"/>
      <c r="J14" s="18" t="str">
        <f>IF(H14&gt;3,"Too many, try using lower voltage batteries","Should not exceed 3 or 4 strings")</f>
        <v>Should not exceed 3 or 4 strings</v>
      </c>
    </row>
    <row r="15" spans="2:10">
      <c r="B15" s="14" t="s">
        <v>118</v>
      </c>
      <c r="C15" s="15">
        <v>6</v>
      </c>
      <c r="D15" s="8" t="s">
        <v>173</v>
      </c>
      <c r="E15" s="18"/>
      <c r="G15" s="14" t="s">
        <v>11</v>
      </c>
      <c r="H15" s="22">
        <f>C16*H14</f>
        <v>620</v>
      </c>
      <c r="I15" s="8" t="s">
        <v>12</v>
      </c>
      <c r="J15" s="18" t="str">
        <f>"at "&amp;C17&amp;" C-Rate"</f>
        <v>at 8 C-Rate</v>
      </c>
    </row>
    <row r="16" spans="2:10">
      <c r="B16" s="14" t="s">
        <v>11</v>
      </c>
      <c r="C16" s="15">
        <v>310</v>
      </c>
      <c r="D16" s="8" t="s">
        <v>174</v>
      </c>
      <c r="E16" s="18"/>
      <c r="G16" s="14" t="s">
        <v>11</v>
      </c>
      <c r="H16" s="55">
        <f>H15*C18</f>
        <v>14880</v>
      </c>
      <c r="I16" s="8" t="s">
        <v>6</v>
      </c>
      <c r="J16" s="18"/>
    </row>
    <row r="17" spans="2:10">
      <c r="B17" s="14" t="s">
        <v>122</v>
      </c>
      <c r="C17" s="15">
        <v>8</v>
      </c>
      <c r="D17" s="8" t="s">
        <v>175</v>
      </c>
      <c r="E17" s="18" t="str">
        <f>IF(C17&gt;H17,"Use a Capacity with lower hour rate","")</f>
        <v/>
      </c>
      <c r="G17" s="14" t="s">
        <v>179</v>
      </c>
      <c r="H17" s="10">
        <f>(H14*C16)/H38</f>
        <v>45.17568</v>
      </c>
      <c r="I17" s="8" t="s">
        <v>110</v>
      </c>
      <c r="J17" s="18" t="str">
        <f>IF($C$13="Lithium-Ion", "Should not be less than 4-hr rate","Should not be less than 8-hr rate")</f>
        <v>Should not be less than 8-hr rate</v>
      </c>
    </row>
    <row r="18" spans="2:10">
      <c r="B18" s="14" t="s">
        <v>119</v>
      </c>
      <c r="C18" s="15">
        <v>24</v>
      </c>
      <c r="D18" s="8" t="s">
        <v>173</v>
      </c>
      <c r="E18" s="18" t="s">
        <v>57</v>
      </c>
      <c r="G18" s="14" t="s">
        <v>179</v>
      </c>
      <c r="H18" s="10">
        <f>1/H17</f>
        <v>2.2135804043237423E-2</v>
      </c>
      <c r="I18" s="8" t="s">
        <v>165</v>
      </c>
      <c r="J18" s="18" t="str">
        <f>IF($C$13="Lithium-Ion", "Should not be more than 0.25","Should not be more than 0.13")</f>
        <v>Should not be more than 0.13</v>
      </c>
    </row>
    <row r="19" spans="2:10">
      <c r="B19" s="14" t="s">
        <v>178</v>
      </c>
      <c r="C19" s="15">
        <v>0.5</v>
      </c>
      <c r="D19" s="8"/>
      <c r="E19" s="18" t="str">
        <f>IF($C$13="Lithium-Ion", "0.8 typical for Li-Ion","0.5 typical for Lead-Acid")</f>
        <v>0.5 typical for Lead-Acid</v>
      </c>
    </row>
    <row r="20" spans="2:10" ht="30">
      <c r="B20" s="14" t="s">
        <v>9</v>
      </c>
      <c r="C20" s="15">
        <v>3</v>
      </c>
      <c r="D20" s="8" t="s">
        <v>10</v>
      </c>
      <c r="E20" s="18" t="s">
        <v>56</v>
      </c>
    </row>
    <row r="22" spans="2:10" ht="20">
      <c r="B22" s="74" t="s">
        <v>177</v>
      </c>
      <c r="C22" s="74"/>
      <c r="D22" s="74"/>
      <c r="E22" s="74"/>
      <c r="G22" s="74" t="s">
        <v>181</v>
      </c>
      <c r="H22" s="74"/>
      <c r="I22" s="74"/>
      <c r="J22" s="74"/>
    </row>
    <row r="23" spans="2:10">
      <c r="B23" s="13"/>
      <c r="C23" s="6" t="s">
        <v>65</v>
      </c>
      <c r="D23" s="6" t="s">
        <v>5</v>
      </c>
      <c r="E23" s="7" t="s">
        <v>1</v>
      </c>
      <c r="G23" s="13"/>
      <c r="H23" s="6" t="s">
        <v>65</v>
      </c>
      <c r="I23" s="6" t="s">
        <v>5</v>
      </c>
      <c r="J23" s="7" t="s">
        <v>1</v>
      </c>
    </row>
    <row r="24" spans="2:10">
      <c r="B24" s="14" t="s">
        <v>68</v>
      </c>
      <c r="C24" s="15" t="s">
        <v>94</v>
      </c>
      <c r="D24" s="8"/>
      <c r="E24" s="9"/>
      <c r="G24" s="14" t="s">
        <v>95</v>
      </c>
      <c r="H24" s="10">
        <f>(1-(C31*(25-Questions!B14)))*C26</f>
        <v>40.867920000000005</v>
      </c>
      <c r="I24" s="8" t="s">
        <v>8</v>
      </c>
      <c r="J24" s="9" t="s">
        <v>187</v>
      </c>
    </row>
    <row r="25" spans="2:10">
      <c r="B25" s="14" t="s">
        <v>59</v>
      </c>
      <c r="C25" s="15">
        <v>250</v>
      </c>
      <c r="D25" s="8" t="s">
        <v>13</v>
      </c>
      <c r="E25" s="9" t="s">
        <v>113</v>
      </c>
      <c r="G25" s="14" t="s">
        <v>76</v>
      </c>
      <c r="H25" s="8">
        <f>ROUNDDOWN(C39/H24,0)</f>
        <v>2</v>
      </c>
      <c r="I25" s="8"/>
      <c r="J25" s="9" t="s">
        <v>167</v>
      </c>
    </row>
    <row r="26" spans="2:10">
      <c r="B26" s="14" t="s">
        <v>60</v>
      </c>
      <c r="C26" s="16">
        <v>37.200000000000003</v>
      </c>
      <c r="D26" s="10" t="s">
        <v>8</v>
      </c>
      <c r="E26" s="9" t="s">
        <v>114</v>
      </c>
      <c r="G26" s="14" t="s">
        <v>77</v>
      </c>
      <c r="H26" s="8">
        <f>ROUNDDOWN(C40/C28,0)</f>
        <v>4</v>
      </c>
      <c r="I26" s="8"/>
      <c r="J26" s="9" t="s">
        <v>168</v>
      </c>
    </row>
    <row r="27" spans="2:10">
      <c r="B27" s="14" t="s">
        <v>61</v>
      </c>
      <c r="C27" s="16">
        <v>30.1</v>
      </c>
      <c r="D27" s="10" t="s">
        <v>8</v>
      </c>
      <c r="E27" s="9" t="s">
        <v>115</v>
      </c>
      <c r="G27" s="14" t="s">
        <v>78</v>
      </c>
      <c r="H27" s="8">
        <f>ROUNDDOWN(C41/C25,0)</f>
        <v>4</v>
      </c>
      <c r="I27" s="8"/>
      <c r="J27" s="9" t="s">
        <v>166</v>
      </c>
    </row>
    <row r="28" spans="2:10">
      <c r="B28" s="14" t="s">
        <v>63</v>
      </c>
      <c r="C28" s="16">
        <v>8.8699999999999992</v>
      </c>
      <c r="D28" s="10" t="s">
        <v>40</v>
      </c>
      <c r="E28" s="9" t="s">
        <v>116</v>
      </c>
      <c r="G28" s="14" t="s">
        <v>194</v>
      </c>
      <c r="H28" s="8" t="str">
        <f>IF(C30&lt;((C34-1)*C28),"Y","N")</f>
        <v>N</v>
      </c>
      <c r="I28" s="8"/>
      <c r="J28" s="9" t="s">
        <v>195</v>
      </c>
    </row>
    <row r="29" spans="2:10">
      <c r="B29" s="14" t="s">
        <v>62</v>
      </c>
      <c r="C29" s="16">
        <v>8.3000000000000007</v>
      </c>
      <c r="D29" s="10" t="s">
        <v>40</v>
      </c>
      <c r="E29" s="9" t="s">
        <v>117</v>
      </c>
      <c r="G29" s="14" t="s">
        <v>185</v>
      </c>
      <c r="H29" s="55">
        <f>H6/H7/C8</f>
        <v>803.88473259565137</v>
      </c>
      <c r="I29" s="8" t="s">
        <v>13</v>
      </c>
      <c r="J29" s="18" t="s">
        <v>186</v>
      </c>
    </row>
    <row r="30" spans="2:10" ht="30">
      <c r="B30" s="14" t="s">
        <v>64</v>
      </c>
      <c r="C30" s="15">
        <v>15</v>
      </c>
      <c r="D30" s="8" t="s">
        <v>40</v>
      </c>
      <c r="E30" s="9"/>
      <c r="G30" s="14" t="s">
        <v>47</v>
      </c>
      <c r="H30" s="21">
        <f>C9-C8*H32/1000</f>
        <v>4.0996649999999999</v>
      </c>
      <c r="I30" s="8" t="s">
        <v>0</v>
      </c>
      <c r="J30" s="18" t="s">
        <v>132</v>
      </c>
    </row>
    <row r="31" spans="2:10">
      <c r="B31" s="14" t="s">
        <v>197</v>
      </c>
      <c r="C31" s="23">
        <v>-3.3999999999999998E-3</v>
      </c>
      <c r="D31" s="11" t="s">
        <v>45</v>
      </c>
      <c r="E31" s="12" t="s">
        <v>71</v>
      </c>
      <c r="G31" s="14" t="s">
        <v>84</v>
      </c>
      <c r="H31" s="8">
        <f>C33*C34</f>
        <v>4</v>
      </c>
      <c r="I31" s="8"/>
      <c r="J31" s="9"/>
    </row>
    <row r="32" spans="2:10" ht="30">
      <c r="B32" s="14" t="s">
        <v>198</v>
      </c>
      <c r="C32" s="23">
        <v>-4.3E-3</v>
      </c>
      <c r="D32" s="11" t="s">
        <v>45</v>
      </c>
      <c r="E32" s="12" t="s">
        <v>71</v>
      </c>
      <c r="G32" s="14" t="s">
        <v>196</v>
      </c>
      <c r="H32" s="55">
        <f>(1-(C32*(25-Questions!B14)))*C25*H31</f>
        <v>1124.7</v>
      </c>
      <c r="I32" s="8" t="s">
        <v>13</v>
      </c>
      <c r="J32" s="18" t="str">
        <f>IF(H32&gt;C41,"CC will limit to "&amp;C41&amp;"W. This will not harm the controller. Do not exceed Voc","")</f>
        <v>CC will limit to 1100W. This will not harm the controller. Do not exceed Voc</v>
      </c>
    </row>
    <row r="33" spans="2:10">
      <c r="B33" s="14" t="s">
        <v>120</v>
      </c>
      <c r="C33" s="15">
        <v>2</v>
      </c>
      <c r="D33" s="8"/>
      <c r="E33" s="9" t="str">
        <f>IF(C33&gt;H25,"Too many in string, try "&amp;H25,"")</f>
        <v/>
      </c>
      <c r="G33" s="14" t="s">
        <v>97</v>
      </c>
      <c r="H33" s="55">
        <f>H31*C25</f>
        <v>1000</v>
      </c>
      <c r="I33" s="8" t="s">
        <v>13</v>
      </c>
      <c r="J33" s="9" t="str">
        <f>IF(H33&gt;C41,"Too many modules, exceed CC Input","")</f>
        <v/>
      </c>
    </row>
    <row r="34" spans="2:10">
      <c r="B34" s="14" t="s">
        <v>121</v>
      </c>
      <c r="C34" s="15">
        <v>2</v>
      </c>
      <c r="D34" s="8"/>
      <c r="E34" s="9" t="str">
        <f>IF(C34&gt;H26,"Too many strings, try "&amp;H26,"")</f>
        <v/>
      </c>
    </row>
    <row r="35" spans="2:10" ht="20">
      <c r="G35" s="74" t="s">
        <v>188</v>
      </c>
      <c r="H35" s="74"/>
      <c r="I35" s="74"/>
      <c r="J35" s="74"/>
    </row>
    <row r="36" spans="2:10" ht="20">
      <c r="B36" s="81" t="s">
        <v>109</v>
      </c>
      <c r="C36" s="82"/>
      <c r="D36" s="82"/>
      <c r="E36" s="83"/>
      <c r="G36" s="13"/>
      <c r="H36" s="6" t="s">
        <v>65</v>
      </c>
      <c r="I36" s="6" t="s">
        <v>5</v>
      </c>
      <c r="J36" s="7" t="s">
        <v>1</v>
      </c>
    </row>
    <row r="37" spans="2:10">
      <c r="B37" s="13"/>
      <c r="C37" s="6" t="s">
        <v>65</v>
      </c>
      <c r="D37" s="6" t="s">
        <v>5</v>
      </c>
      <c r="E37" s="7" t="s">
        <v>1</v>
      </c>
      <c r="G37" s="14" t="s">
        <v>41</v>
      </c>
      <c r="H37" s="10">
        <f>'2 Derate'!D18</f>
        <v>0.91080000000000005</v>
      </c>
      <c r="I37" s="8"/>
      <c r="J37" s="9"/>
    </row>
    <row r="38" spans="2:10">
      <c r="B38" s="14" t="s">
        <v>69</v>
      </c>
      <c r="C38" s="15" t="s">
        <v>102</v>
      </c>
      <c r="D38" s="8"/>
      <c r="E38" s="9"/>
      <c r="G38" s="14" t="s">
        <v>125</v>
      </c>
      <c r="H38" s="21">
        <f>C48/C47/H37</f>
        <v>13.724198506807202</v>
      </c>
      <c r="I38" s="8" t="s">
        <v>40</v>
      </c>
      <c r="J38" s="9" t="s">
        <v>123</v>
      </c>
    </row>
    <row r="39" spans="2:10">
      <c r="B39" s="14" t="s">
        <v>101</v>
      </c>
      <c r="C39" s="15">
        <v>120</v>
      </c>
      <c r="D39" s="8" t="s">
        <v>8</v>
      </c>
      <c r="E39" s="9" t="s">
        <v>189</v>
      </c>
      <c r="G39" s="14" t="s">
        <v>124</v>
      </c>
      <c r="H39" s="8">
        <f>C28*C34</f>
        <v>17.739999999999998</v>
      </c>
      <c r="I39" s="8" t="s">
        <v>40</v>
      </c>
      <c r="J39" s="9"/>
    </row>
    <row r="40" spans="2:10">
      <c r="B40" s="14" t="s">
        <v>100</v>
      </c>
      <c r="C40" s="15">
        <v>40</v>
      </c>
      <c r="D40" s="8" t="s">
        <v>40</v>
      </c>
      <c r="E40" s="9"/>
      <c r="G40" s="14" t="s">
        <v>48</v>
      </c>
      <c r="H40" s="21">
        <f>H24*C33</f>
        <v>81.73584000000001</v>
      </c>
      <c r="I40" s="8" t="s">
        <v>8</v>
      </c>
      <c r="J40" s="9"/>
    </row>
    <row r="41" spans="2:10">
      <c r="B41" s="14" t="s">
        <v>105</v>
      </c>
      <c r="C41" s="15">
        <v>1100</v>
      </c>
      <c r="D41" s="8" t="s">
        <v>98</v>
      </c>
      <c r="E41" s="9"/>
      <c r="G41" s="14" t="s">
        <v>191</v>
      </c>
      <c r="H41" s="21">
        <f>C27*C33</f>
        <v>60.2</v>
      </c>
      <c r="I41" s="8" t="s">
        <v>8</v>
      </c>
      <c r="J41" s="9"/>
    </row>
    <row r="42" spans="2:10">
      <c r="G42" s="14" t="s">
        <v>49</v>
      </c>
      <c r="H42" s="21">
        <f>C34*C28*1.25</f>
        <v>22.174999999999997</v>
      </c>
      <c r="I42" s="8" t="s">
        <v>40</v>
      </c>
      <c r="J42" s="9"/>
    </row>
    <row r="43" spans="2:10" ht="20">
      <c r="B43" s="81" t="s">
        <v>66</v>
      </c>
      <c r="C43" s="82"/>
      <c r="D43" s="82"/>
      <c r="E43" s="83"/>
      <c r="G43" s="14" t="s">
        <v>190</v>
      </c>
      <c r="H43" s="8">
        <f>C29*C34</f>
        <v>16.600000000000001</v>
      </c>
      <c r="I43" s="8" t="s">
        <v>40</v>
      </c>
      <c r="J43" s="9"/>
    </row>
    <row r="44" spans="2:10">
      <c r="B44" s="13"/>
      <c r="C44" s="6" t="s">
        <v>65</v>
      </c>
      <c r="D44" s="6" t="s">
        <v>5</v>
      </c>
      <c r="E44" s="7" t="s">
        <v>1</v>
      </c>
    </row>
    <row r="45" spans="2:10">
      <c r="B45" s="14" t="s">
        <v>67</v>
      </c>
      <c r="C45" s="15" t="s">
        <v>108</v>
      </c>
      <c r="D45" s="8"/>
      <c r="E45" s="9"/>
    </row>
    <row r="46" spans="2:10">
      <c r="B46" s="14" t="s">
        <v>201</v>
      </c>
      <c r="C46" s="15">
        <v>24</v>
      </c>
      <c r="D46" s="8" t="s">
        <v>200</v>
      </c>
      <c r="E46" s="9"/>
      <c r="G46"/>
      <c r="H46"/>
      <c r="I46"/>
      <c r="J46"/>
    </row>
    <row r="47" spans="2:10">
      <c r="B47" s="14" t="s">
        <v>199</v>
      </c>
      <c r="C47" s="15">
        <v>120</v>
      </c>
      <c r="D47" s="8" t="s">
        <v>200</v>
      </c>
      <c r="E47" s="9"/>
      <c r="G47"/>
      <c r="H47"/>
      <c r="I47"/>
      <c r="J47"/>
    </row>
    <row r="48" spans="2:10">
      <c r="B48" s="14" t="s">
        <v>43</v>
      </c>
      <c r="C48" s="15">
        <v>1500</v>
      </c>
      <c r="D48" s="8" t="s">
        <v>13</v>
      </c>
      <c r="E48" s="9"/>
      <c r="G48"/>
      <c r="H48"/>
      <c r="I48"/>
      <c r="J48"/>
    </row>
    <row r="49" spans="2:10">
      <c r="B49" s="14" t="s">
        <v>44</v>
      </c>
      <c r="C49" s="15">
        <v>3000</v>
      </c>
      <c r="D49" s="8" t="s">
        <v>13</v>
      </c>
      <c r="E49" s="9"/>
      <c r="G49"/>
      <c r="H49"/>
      <c r="I49"/>
      <c r="J49"/>
    </row>
    <row r="50" spans="2:10">
      <c r="B50" s="14" t="s">
        <v>99</v>
      </c>
      <c r="C50" s="15">
        <v>20</v>
      </c>
      <c r="D50" s="8" t="s">
        <v>40</v>
      </c>
      <c r="E50" s="9"/>
      <c r="G50"/>
      <c r="H50"/>
      <c r="I50"/>
      <c r="J50"/>
    </row>
    <row r="51" spans="2:10">
      <c r="G51"/>
      <c r="H51"/>
      <c r="I51"/>
      <c r="J51"/>
    </row>
    <row r="52" spans="2:10">
      <c r="G52"/>
      <c r="H52"/>
      <c r="I52"/>
      <c r="J52"/>
    </row>
    <row r="53" spans="2:10">
      <c r="G53"/>
      <c r="H53"/>
      <c r="I53"/>
      <c r="J53"/>
    </row>
  </sheetData>
  <mergeCells count="9">
    <mergeCell ref="B2:E2"/>
    <mergeCell ref="G2:J2"/>
    <mergeCell ref="B11:E11"/>
    <mergeCell ref="G11:J11"/>
    <mergeCell ref="B22:E22"/>
    <mergeCell ref="G22:J22"/>
    <mergeCell ref="G35:J35"/>
    <mergeCell ref="B36:E36"/>
    <mergeCell ref="B43:E43"/>
  </mergeCells>
  <conditionalFormatting sqref="H14">
    <cfRule type="expression" dxfId="4" priority="6">
      <formula>$H$14&gt;3</formula>
    </cfRule>
  </conditionalFormatting>
  <conditionalFormatting sqref="C17">
    <cfRule type="expression" dxfId="3" priority="5">
      <formula>$C$17&gt;$H$17</formula>
    </cfRule>
  </conditionalFormatting>
  <conditionalFormatting sqref="C33">
    <cfRule type="expression" dxfId="2" priority="4">
      <formula>$C$33&gt;$H$25</formula>
    </cfRule>
  </conditionalFormatting>
  <conditionalFormatting sqref="C34">
    <cfRule type="expression" dxfId="1" priority="3">
      <formula>$C$34&gt;$H$26</formula>
    </cfRule>
  </conditionalFormatting>
  <conditionalFormatting sqref="H33">
    <cfRule type="expression" dxfId="0" priority="7">
      <formula>$H$33&gt;$C$41</formula>
    </cfRule>
  </conditionalFormatting>
  <hyperlinks>
    <hyperlink ref="E8" r:id="rId1"/>
    <hyperlink ref="E9" r:id="rId2"/>
  </hyperlink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Questions!$B$2:$B$3</xm:f>
          </x14:formula1>
          <xm:sqref>C5</xm:sqref>
        </x14:dataValidation>
        <x14:dataValidation type="list" allowBlank="1" showInputMessage="1" showErrorMessage="1">
          <x14:formula1>
            <xm:f>Questions!$C$2:$C$4</xm:f>
          </x14:formula1>
          <xm:sqref>C7</xm:sqref>
        </x14:dataValidation>
        <x14:dataValidation type="list" allowBlank="1" showInputMessage="1" showErrorMessage="1">
          <x14:formula1>
            <xm:f>Questions!$E$2:$E$5</xm:f>
          </x14:formula1>
          <xm:sqref>C13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4"/>
  <sheetViews>
    <sheetView zoomScale="125" zoomScaleNormal="125" zoomScalePageLayoutView="125" workbookViewId="0">
      <selection activeCell="C44" sqref="C44"/>
    </sheetView>
  </sheetViews>
  <sheetFormatPr baseColWidth="10" defaultRowHeight="16" x14ac:dyDescent="0"/>
  <cols>
    <col min="1" max="1" width="10.83203125" style="41"/>
    <col min="2" max="2" width="40.5" style="59" bestFit="1" customWidth="1"/>
    <col min="3" max="3" width="23.6640625" style="61" customWidth="1"/>
    <col min="4" max="4" width="30.1640625" style="41" customWidth="1"/>
    <col min="5" max="16384" width="10.83203125" style="41"/>
  </cols>
  <sheetData>
    <row r="2" spans="2:4">
      <c r="B2" s="66" t="s">
        <v>170</v>
      </c>
      <c r="C2" s="67"/>
      <c r="D2" s="68"/>
    </row>
    <row r="3" spans="2:4">
      <c r="B3" s="56" t="s">
        <v>79</v>
      </c>
      <c r="C3" s="60" t="str">
        <f>'3 Input'!C4</f>
        <v>Oakland</v>
      </c>
      <c r="D3" s="57"/>
    </row>
    <row r="4" spans="2:4">
      <c r="B4" s="56" t="str">
        <f>'3 Input'!B6</f>
        <v>Extreme Minimum Temp in °C</v>
      </c>
      <c r="C4" s="57" t="str">
        <f>'3 Input'!C6&amp;'3 Input'!D6</f>
        <v>-4°C</v>
      </c>
      <c r="D4" s="57"/>
    </row>
    <row r="5" spans="2:4">
      <c r="B5" s="62"/>
      <c r="C5" s="63"/>
      <c r="D5" s="43"/>
    </row>
    <row r="6" spans="2:4" s="58" customFormat="1">
      <c r="B6" s="66" t="s">
        <v>169</v>
      </c>
      <c r="C6" s="67"/>
      <c r="D6" s="68"/>
    </row>
    <row r="7" spans="2:4" s="58" customFormat="1">
      <c r="B7" s="64" t="s">
        <v>133</v>
      </c>
      <c r="C7" s="63" t="str">
        <f>'1 Load Calc Table'!H15&amp;'1 Load Calc Table'!I15</f>
        <v>600 W</v>
      </c>
      <c r="D7" s="43"/>
    </row>
    <row r="8" spans="2:4" s="58" customFormat="1">
      <c r="B8" s="64" t="s">
        <v>134</v>
      </c>
      <c r="C8" s="63" t="str">
        <f>'1 Load Calc Table'!H16&amp;'1 Load Calc Table'!I16</f>
        <v>1500 W</v>
      </c>
      <c r="D8" s="43"/>
    </row>
    <row r="9" spans="2:4" s="58" customFormat="1">
      <c r="B9" s="64" t="s">
        <v>4</v>
      </c>
      <c r="C9" s="63" t="str">
        <f>'1 Load Calc Table'!H17&amp;'1 Load Calc Table'!I17</f>
        <v>1470 kWh</v>
      </c>
      <c r="D9" s="43"/>
    </row>
    <row r="10" spans="2:4" s="58" customFormat="1">
      <c r="B10" s="62"/>
      <c r="C10" s="63"/>
      <c r="D10" s="43"/>
    </row>
    <row r="11" spans="2:4" s="58" customFormat="1">
      <c r="B11" s="69" t="str">
        <f>"Battery: " &amp; '3 Input'!C13&amp;" "&amp;'3 Input'!C14</f>
        <v>Battery: VRLA AGM Xtender</v>
      </c>
      <c r="C11" s="70"/>
      <c r="D11" s="71"/>
    </row>
    <row r="12" spans="2:4" s="58" customFormat="1">
      <c r="B12" s="64" t="s">
        <v>135</v>
      </c>
      <c r="C12" s="65" t="str">
        <f>'3 Input'!C15&amp;'3 Input'!D15</f>
        <v>6 V</v>
      </c>
      <c r="D12" s="43"/>
    </row>
    <row r="13" spans="2:4" s="58" customFormat="1">
      <c r="B13" s="64" t="s">
        <v>176</v>
      </c>
      <c r="C13" s="65" t="str">
        <f>'3 Input'!C16&amp;'3 Input'!D16&amp;" @ "&amp;'3 Input'!C17&amp; " C-Rate"</f>
        <v>310 Ah @ 8 C-Rate</v>
      </c>
      <c r="D13" s="43"/>
    </row>
    <row r="14" spans="2:4" s="58" customFormat="1">
      <c r="B14" s="64" t="s">
        <v>136</v>
      </c>
      <c r="C14" s="72">
        <f>'3 Input'!H13</f>
        <v>4</v>
      </c>
      <c r="D14" s="43"/>
    </row>
    <row r="15" spans="2:4" s="58" customFormat="1">
      <c r="B15" s="64" t="s">
        <v>91</v>
      </c>
      <c r="C15" s="72">
        <f>'3 Input'!H14</f>
        <v>2</v>
      </c>
      <c r="D15" s="43"/>
    </row>
    <row r="16" spans="2:4" s="58" customFormat="1">
      <c r="B16" s="64" t="s">
        <v>202</v>
      </c>
      <c r="C16" s="84" t="str">
        <f>ROUND('3 Input'!H9,0)&amp;" Wh"</f>
        <v>14711 Wh</v>
      </c>
      <c r="D16" s="43"/>
    </row>
    <row r="17" spans="2:4" s="58" customFormat="1">
      <c r="B17" s="62"/>
      <c r="C17" s="63"/>
      <c r="D17" s="43"/>
    </row>
    <row r="18" spans="2:4" s="58" customFormat="1">
      <c r="B18" s="69" t="str">
        <f>"Charge Controller: " &amp; '3 Input'!C38</f>
        <v>Charge Controller: ProStar MPPT</v>
      </c>
      <c r="C18" s="70"/>
      <c r="D18" s="71"/>
    </row>
    <row r="19" spans="2:4" s="58" customFormat="1">
      <c r="B19" s="64" t="s">
        <v>7</v>
      </c>
      <c r="C19" s="65" t="str">
        <f>'3 Input'!C18&amp;'3 Input'!D18</f>
        <v>24 V</v>
      </c>
      <c r="D19" s="43"/>
    </row>
    <row r="20" spans="2:4" s="58" customFormat="1">
      <c r="B20" s="64" t="s">
        <v>101</v>
      </c>
      <c r="C20" s="65" t="str">
        <f>'3 Input'!C39&amp;'3 Input'!D39</f>
        <v>120V</v>
      </c>
      <c r="D20" s="43"/>
    </row>
    <row r="21" spans="2:4" s="58" customFormat="1">
      <c r="B21" s="64" t="s">
        <v>137</v>
      </c>
      <c r="C21" s="65" t="str">
        <f>'3 Input'!C40&amp;'3 Input'!D40</f>
        <v>40A</v>
      </c>
      <c r="D21" s="43"/>
    </row>
    <row r="22" spans="2:4" s="58" customFormat="1">
      <c r="B22" s="62"/>
      <c r="C22" s="63"/>
      <c r="D22" s="43"/>
    </row>
    <row r="23" spans="2:4" s="58" customFormat="1">
      <c r="B23" s="69" t="str">
        <f>"Inverter: "&amp;'3 Input'!C45</f>
        <v>Inverter: PST-1000</v>
      </c>
      <c r="C23" s="70"/>
      <c r="D23" s="71"/>
    </row>
    <row r="24" spans="2:4" s="58" customFormat="1">
      <c r="B24" s="64" t="s">
        <v>138</v>
      </c>
      <c r="C24" s="65" t="str">
        <f>'3 Input'!C48&amp;'3 Input'!D48</f>
        <v>1500W</v>
      </c>
      <c r="D24" s="43"/>
    </row>
    <row r="25" spans="2:4" s="58" customFormat="1">
      <c r="B25" s="64" t="s">
        <v>139</v>
      </c>
      <c r="C25" s="65" t="str">
        <f>'3 Input'!C49&amp;'3 Input'!D49</f>
        <v>3000W</v>
      </c>
      <c r="D25" s="43"/>
    </row>
    <row r="26" spans="2:4" s="58" customFormat="1">
      <c r="B26" s="64" t="s">
        <v>99</v>
      </c>
      <c r="C26" s="65" t="str">
        <f>'3 Input'!C50&amp;'3 Input'!D50</f>
        <v>20A</v>
      </c>
      <c r="D26" s="43"/>
    </row>
    <row r="27" spans="2:4" s="58" customFormat="1">
      <c r="B27" s="62"/>
      <c r="C27" s="63"/>
      <c r="D27" s="43"/>
    </row>
    <row r="28" spans="2:4" s="58" customFormat="1">
      <c r="B28" s="69" t="str">
        <f>"PV Module: "&amp;'3 Input'!C24</f>
        <v>PV Module: Canadian Solar</v>
      </c>
      <c r="C28" s="70"/>
      <c r="D28" s="71"/>
    </row>
    <row r="29" spans="2:4" s="58" customFormat="1">
      <c r="B29" s="64" t="s">
        <v>85</v>
      </c>
      <c r="C29" s="65" t="str">
        <f>'3 Input'!C25&amp;'3 Input'!D25</f>
        <v>250W</v>
      </c>
      <c r="D29" s="43"/>
    </row>
    <row r="30" spans="2:4" s="58" customFormat="1">
      <c r="B30" s="64" t="s">
        <v>86</v>
      </c>
      <c r="C30" s="73" t="str">
        <f>'3 Input'!C26&amp;'3 Input'!D26</f>
        <v>37.2V</v>
      </c>
      <c r="D30" s="43"/>
    </row>
    <row r="31" spans="2:4" s="58" customFormat="1">
      <c r="B31" s="64" t="s">
        <v>87</v>
      </c>
      <c r="C31" s="73" t="str">
        <f>'3 Input'!C27&amp;'3 Input'!D27</f>
        <v>30.1V</v>
      </c>
      <c r="D31" s="43"/>
    </row>
    <row r="32" spans="2:4" s="58" customFormat="1">
      <c r="B32" s="64" t="s">
        <v>88</v>
      </c>
      <c r="C32" s="73" t="str">
        <f>'3 Input'!C28&amp;'3 Input'!D28</f>
        <v>8.87A</v>
      </c>
      <c r="D32" s="43"/>
    </row>
    <row r="33" spans="2:4" s="58" customFormat="1">
      <c r="B33" s="64" t="s">
        <v>89</v>
      </c>
      <c r="C33" s="73" t="str">
        <f>'3 Input'!C29&amp;'3 Input'!D29</f>
        <v>8.3A</v>
      </c>
      <c r="D33" s="43"/>
    </row>
    <row r="34" spans="2:4" s="58" customFormat="1">
      <c r="B34" s="64" t="s">
        <v>95</v>
      </c>
      <c r="C34" s="73" t="str">
        <f>ROUND('3 Input'!H24,2)&amp;" V"</f>
        <v>40.87 V</v>
      </c>
      <c r="D34" s="43"/>
    </row>
    <row r="35" spans="2:4" s="58" customFormat="1">
      <c r="B35" s="62"/>
      <c r="C35" s="63"/>
      <c r="D35" s="43"/>
    </row>
    <row r="36" spans="2:4" s="58" customFormat="1">
      <c r="B36" s="69" t="s">
        <v>203</v>
      </c>
      <c r="C36" s="70"/>
      <c r="D36" s="71"/>
    </row>
    <row r="37" spans="2:4" s="58" customFormat="1">
      <c r="B37" s="64" t="s">
        <v>90</v>
      </c>
      <c r="C37" s="65">
        <f>'3 Input'!C33</f>
        <v>2</v>
      </c>
      <c r="D37" s="43"/>
    </row>
    <row r="38" spans="2:4" s="58" customFormat="1">
      <c r="B38" s="64" t="s">
        <v>91</v>
      </c>
      <c r="C38" s="65">
        <f>'3 Input'!C34</f>
        <v>2</v>
      </c>
      <c r="D38" s="43"/>
    </row>
    <row r="39" spans="2:4" s="58" customFormat="1">
      <c r="B39" s="64" t="s">
        <v>92</v>
      </c>
      <c r="C39" s="65" t="s">
        <v>93</v>
      </c>
      <c r="D39" s="43"/>
    </row>
    <row r="40" spans="2:4" s="58" customFormat="1">
      <c r="B40" s="62" t="s">
        <v>124</v>
      </c>
      <c r="C40" s="85" t="str">
        <f>'3 Input'!H39&amp;" A"</f>
        <v>17.74 A</v>
      </c>
      <c r="D40" s="43"/>
    </row>
    <row r="41" spans="2:4" s="58" customFormat="1">
      <c r="B41" s="62" t="s">
        <v>48</v>
      </c>
      <c r="C41" s="85" t="str">
        <f>ROUND('3 Input'!H40, 2)&amp;" V"</f>
        <v>81.74 V</v>
      </c>
      <c r="D41" s="43"/>
    </row>
    <row r="42" spans="2:4" s="58" customFormat="1">
      <c r="B42" s="62" t="s">
        <v>191</v>
      </c>
      <c r="C42" s="85" t="str">
        <f>'3 Input'!H41&amp;" V"</f>
        <v>60.2 V</v>
      </c>
      <c r="D42" s="43"/>
    </row>
    <row r="43" spans="2:4">
      <c r="B43" s="62" t="s">
        <v>49</v>
      </c>
      <c r="C43" s="85" t="str">
        <f>ROUND('3 Input'!H42,1)&amp;" A"</f>
        <v>22.2 A</v>
      </c>
      <c r="D43" s="43"/>
    </row>
    <row r="44" spans="2:4">
      <c r="B44" s="62" t="s">
        <v>190</v>
      </c>
      <c r="C44" s="85" t="str">
        <f>'3 Input'!H43&amp;" A"</f>
        <v>16.6 A</v>
      </c>
      <c r="D44" s="43"/>
    </row>
  </sheetData>
  <mergeCells count="7">
    <mergeCell ref="B28:D28"/>
    <mergeCell ref="B2:D2"/>
    <mergeCell ref="B36:D36"/>
    <mergeCell ref="B6:D6"/>
    <mergeCell ref="B11:D11"/>
    <mergeCell ref="B18:D18"/>
    <mergeCell ref="B23:D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>
      <selection activeCell="E3" sqref="E3"/>
    </sheetView>
  </sheetViews>
  <sheetFormatPr baseColWidth="10" defaultRowHeight="15" x14ac:dyDescent="0"/>
  <cols>
    <col min="5" max="5" width="16.1640625" bestFit="1" customWidth="1"/>
  </cols>
  <sheetData>
    <row r="2" spans="2:5">
      <c r="B2" t="s">
        <v>72</v>
      </c>
      <c r="C2" t="s">
        <v>80</v>
      </c>
      <c r="E2" t="s">
        <v>129</v>
      </c>
    </row>
    <row r="3" spans="2:5">
      <c r="B3" t="s">
        <v>73</v>
      </c>
      <c r="C3" t="s">
        <v>81</v>
      </c>
      <c r="E3" t="s">
        <v>107</v>
      </c>
    </row>
    <row r="4" spans="2:5">
      <c r="C4" t="s">
        <v>82</v>
      </c>
      <c r="E4" t="s">
        <v>127</v>
      </c>
    </row>
    <row r="5" spans="2:5">
      <c r="E5" t="s">
        <v>128</v>
      </c>
    </row>
    <row r="13" spans="2:5">
      <c r="B13" s="24">
        <f>IF('3 Input'!C5="F",('3 Input'!C6-32)/1.8,'3 Input'!C6)</f>
        <v>-4</v>
      </c>
      <c r="C13" t="s">
        <v>72</v>
      </c>
    </row>
    <row r="14" spans="2:5">
      <c r="B14">
        <f>IF(B13&gt;10,10,B13)</f>
        <v>-4</v>
      </c>
      <c r="C14" t="s">
        <v>72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 Load Calc Table</vt:lpstr>
      <vt:lpstr>2 Derate</vt:lpstr>
      <vt:lpstr>3 Input</vt:lpstr>
      <vt:lpstr>4 System Summary</vt:lpstr>
      <vt:lpstr>Questions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O</dc:creator>
  <cp:lastModifiedBy>Joe O</cp:lastModifiedBy>
  <dcterms:created xsi:type="dcterms:W3CDTF">2016-04-30T21:58:45Z</dcterms:created>
  <dcterms:modified xsi:type="dcterms:W3CDTF">2016-10-20T05:02:19Z</dcterms:modified>
</cp:coreProperties>
</file>